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120" yWindow="100" windowWidth="13620" windowHeight="8760"/>
  </bookViews>
  <sheets>
    <sheet name="CASE19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D40" i="1"/>
  <c r="E65" i="1"/>
  <c r="F65" i="1"/>
  <c r="G65" i="1"/>
  <c r="H65" i="1"/>
  <c r="I65" i="1"/>
  <c r="D39" i="1"/>
  <c r="G63" i="1"/>
  <c r="D35" i="1"/>
  <c r="D34" i="1"/>
  <c r="E68" i="1"/>
  <c r="F68" i="1"/>
  <c r="G68" i="1"/>
  <c r="H68" i="1"/>
  <c r="I68" i="1"/>
  <c r="D33" i="1"/>
  <c r="E66" i="1"/>
  <c r="F66" i="1"/>
  <c r="G66" i="1"/>
  <c r="H66" i="1"/>
  <c r="I66" i="1"/>
  <c r="D32" i="1"/>
  <c r="E64" i="1"/>
  <c r="F64" i="1"/>
  <c r="G64" i="1"/>
  <c r="H64" i="1"/>
  <c r="I64" i="1"/>
  <c r="D50" i="1"/>
  <c r="E69" i="1"/>
  <c r="E73" i="1"/>
  <c r="D51" i="1"/>
  <c r="F69" i="1"/>
  <c r="D52" i="1"/>
  <c r="G69" i="1"/>
  <c r="D53" i="1"/>
  <c r="H69" i="1"/>
  <c r="H73" i="1"/>
  <c r="D54" i="1"/>
  <c r="I69" i="1"/>
  <c r="I74" i="1"/>
  <c r="D61" i="1"/>
  <c r="D62" i="1"/>
  <c r="D102" i="1"/>
  <c r="D103" i="1"/>
  <c r="D104" i="1"/>
  <c r="C99" i="1"/>
  <c r="D55" i="1"/>
  <c r="E50" i="1"/>
  <c r="E51" i="1"/>
  <c r="E52" i="1"/>
  <c r="E53" i="1"/>
  <c r="E54" i="1"/>
  <c r="E55" i="1"/>
  <c r="D77" i="1"/>
  <c r="D79" i="1"/>
  <c r="G67" i="1"/>
  <c r="G70" i="1"/>
  <c r="E63" i="1"/>
  <c r="I63" i="1"/>
  <c r="H63" i="1"/>
  <c r="F67" i="1"/>
  <c r="E67" i="1"/>
  <c r="F63" i="1"/>
  <c r="I67" i="1"/>
  <c r="H67" i="1"/>
  <c r="I73" i="1"/>
  <c r="G73" i="1"/>
  <c r="I75" i="1"/>
  <c r="F73" i="1"/>
  <c r="E70" i="1"/>
  <c r="I70" i="1"/>
  <c r="I71" i="1"/>
  <c r="I72" i="1"/>
  <c r="I77" i="1"/>
  <c r="F70" i="1"/>
  <c r="F71" i="1"/>
  <c r="F72" i="1"/>
  <c r="F77" i="1"/>
  <c r="H70" i="1"/>
  <c r="H71" i="1"/>
  <c r="H72" i="1"/>
  <c r="H77" i="1"/>
  <c r="E71" i="1"/>
  <c r="E72" i="1"/>
  <c r="E77" i="1"/>
  <c r="G71" i="1"/>
  <c r="G72" i="1"/>
  <c r="G77" i="1"/>
  <c r="E86" i="1"/>
  <c r="F28" i="1"/>
  <c r="E79" i="1"/>
  <c r="H79" i="1"/>
  <c r="G79" i="1"/>
  <c r="F79" i="1"/>
  <c r="I79" i="1"/>
  <c r="E85" i="1"/>
  <c r="F27" i="1"/>
  <c r="E84" i="1"/>
  <c r="F26" i="1"/>
  <c r="E87" i="1"/>
  <c r="F29" i="1"/>
</calcChain>
</file>

<file path=xl/sharedStrings.xml><?xml version="1.0" encoding="utf-8"?>
<sst xmlns="http://schemas.openxmlformats.org/spreadsheetml/2006/main" count="101" uniqueCount="100">
  <si>
    <t>This case illustrates a complete capital budgeting analysis, including cash flow analysis,</t>
  </si>
  <si>
    <t>profitability measures, sensitivity analysis, scenario analysis, and, if special add-in</t>
  </si>
  <si>
    <t>software is available, Monte Carlo simulation.  Note that the model extends to Column I.</t>
  </si>
  <si>
    <t>INPUT DATA:</t>
  </si>
  <si>
    <t>Land opportunity cost</t>
  </si>
  <si>
    <t>Building/equipment cost</t>
  </si>
  <si>
    <t>Procedures per day</t>
  </si>
  <si>
    <t>Labor costs</t>
  </si>
  <si>
    <t>Utilities costs</t>
  </si>
  <si>
    <t>Incremental overhead</t>
  </si>
  <si>
    <t>Supply cost ($/procedure)</t>
  </si>
  <si>
    <t>Inflation rate on charges</t>
  </si>
  <si>
    <t>Inflation rate on costs</t>
  </si>
  <si>
    <t>Tax rate</t>
  </si>
  <si>
    <t>Cost of capital</t>
  </si>
  <si>
    <t>MODEL-GENERATED DATA:</t>
  </si>
  <si>
    <t xml:space="preserve">  Depreciation Schedule:</t>
  </si>
  <si>
    <t>MACRS</t>
  </si>
  <si>
    <t>Deprec.</t>
  </si>
  <si>
    <t>End of Year</t>
  </si>
  <si>
    <t>Year</t>
  </si>
  <si>
    <t>Factor</t>
  </si>
  <si>
    <t>Expense</t>
  </si>
  <si>
    <t>Book value</t>
  </si>
  <si>
    <t xml:space="preserve">  Net Cash Flows:</t>
  </si>
  <si>
    <t>Project Cash Flows</t>
  </si>
  <si>
    <t>0</t>
  </si>
  <si>
    <t>1</t>
  </si>
  <si>
    <t>2</t>
  </si>
  <si>
    <t>3</t>
  </si>
  <si>
    <t>4</t>
  </si>
  <si>
    <t>5</t>
  </si>
  <si>
    <t>Less: Labor costs</t>
  </si>
  <si>
    <t xml:space="preserve">  Income before taxes</t>
  </si>
  <si>
    <t>Taxes</t>
  </si>
  <si>
    <t xml:space="preserve">  Project net income</t>
  </si>
  <si>
    <t>Plus: Depreciation</t>
  </si>
  <si>
    <t>Net cash flow</t>
  </si>
  <si>
    <t>Cumulative net cash flow</t>
  </si>
  <si>
    <t>(For payback calculation)</t>
  </si>
  <si>
    <t xml:space="preserve">  Profitability and Breakeven Measures:</t>
  </si>
  <si>
    <t>Net present value (NPV)</t>
  </si>
  <si>
    <t>Internal rate of return (IRR)</t>
  </si>
  <si>
    <t>Modified IRR (MIRR)</t>
  </si>
  <si>
    <t>Payback</t>
  </si>
  <si>
    <t>END</t>
  </si>
  <si>
    <t>When this is done, any error cells will be corrected and the base case solution will appear.</t>
  </si>
  <si>
    <t>to the existing MODEL-GENERATED DATA section.  However, all values in the student</t>
  </si>
  <si>
    <t>version INPUT DATA section have been replaced with zeros.  Thus, students must determine</t>
  </si>
  <si>
    <r>
      <t>the appropriate input values and enter them into the model.  These cells are colored</t>
    </r>
    <r>
      <rPr>
        <b/>
        <sz val="12"/>
        <color indexed="10"/>
        <rFont val="Arial"/>
        <family val="2"/>
      </rPr>
      <t xml:space="preserve"> red</t>
    </r>
    <r>
      <rPr>
        <sz val="12"/>
        <rFont val="Arial"/>
      </rPr>
      <t>.</t>
    </r>
  </si>
  <si>
    <t>Land initial cost</t>
  </si>
  <si>
    <t>Plus: Net land salvage value</t>
  </si>
  <si>
    <t>Land opportunity cost (and salvage value)</t>
  </si>
  <si>
    <t>Build/equipment salvage value</t>
  </si>
  <si>
    <t xml:space="preserve">         Utilities costs</t>
  </si>
  <si>
    <t xml:space="preserve">         Supplies</t>
  </si>
  <si>
    <t xml:space="preserve">         Incremental overhead</t>
  </si>
  <si>
    <t xml:space="preserve">         Depreciation</t>
  </si>
  <si>
    <t>Plus: Net building/equipment salvage value</t>
  </si>
  <si>
    <t>Avg Revenue</t>
  </si>
  <si>
    <t>per Procedure</t>
  </si>
  <si>
    <t>Number of</t>
  </si>
  <si>
    <t>Procedures</t>
  </si>
  <si>
    <t>Bldg/Equip</t>
  </si>
  <si>
    <t>Salvage Value</t>
  </si>
  <si>
    <t>Note that the student version does not contain any risk analyses, so students will have to</t>
  </si>
  <si>
    <t>graphics (charts) as needed to present their results.</t>
  </si>
  <si>
    <t xml:space="preserve">    (Note: This section does NOT automatically recalculate when values in the INPUT DATA section are changed.  However, the probabilities</t>
  </si>
  <si>
    <t xml:space="preserve">              within the section can be changed and the resulting values will automatically be recalculated.)</t>
  </si>
  <si>
    <t>Probability</t>
  </si>
  <si>
    <t>Case</t>
  </si>
  <si>
    <t>Worst</t>
  </si>
  <si>
    <t>Most Likely</t>
  </si>
  <si>
    <t>Best</t>
  </si>
  <si>
    <t>NPV</t>
  </si>
  <si>
    <t>Expected NPV</t>
  </si>
  <si>
    <t xml:space="preserve">Standard Deviation </t>
  </si>
  <si>
    <t>Coefficient of Variation</t>
  </si>
  <si>
    <t xml:space="preserve">    by FACHE</t>
  </si>
  <si>
    <r>
      <t>create their own</t>
    </r>
    <r>
      <rPr>
        <b/>
        <sz val="12"/>
        <rFont val="Arial"/>
        <family val="2"/>
      </rPr>
      <t xml:space="preserve"> if required by the case</t>
    </r>
    <r>
      <rPr>
        <sz val="12"/>
        <rFont val="Arial"/>
      </rPr>
      <t>.  Furthermore, students must create their own</t>
    </r>
  </si>
  <si>
    <t xml:space="preserve">         Payback</t>
  </si>
  <si>
    <t xml:space="preserve">         MIRR</t>
  </si>
  <si>
    <t xml:space="preserve">         IRR</t>
  </si>
  <si>
    <t xml:space="preserve">         NPV</t>
  </si>
  <si>
    <t xml:space="preserve">         KEY OUTPUT:</t>
  </si>
  <si>
    <t xml:space="preserve">  Scenario Analysis:</t>
  </si>
  <si>
    <t>CASE 19</t>
  </si>
  <si>
    <t>Reduction in inpatient surgery costs</t>
  </si>
  <si>
    <t>Revenues lost from inpatient surgeries</t>
  </si>
  <si>
    <t xml:space="preserve">         Cost savings on inpatients</t>
  </si>
  <si>
    <t>Net revenues (including inpatient loss)</t>
  </si>
  <si>
    <t>Average net revenue per procedure</t>
  </si>
  <si>
    <t>The instructor version of the model contains an inflation table, sensitivity analysis,</t>
  </si>
  <si>
    <t>Copyright 2010</t>
  </si>
  <si>
    <t xml:space="preserve">          PALMS HOSPITAL</t>
  </si>
  <si>
    <t xml:space="preserve">   Traditional Project Analysis</t>
  </si>
  <si>
    <t>The model consists of a complete base case analysis--no changes need to be made</t>
  </si>
  <si>
    <t>and scenario analysis, which are not included in the student version.</t>
  </si>
  <si>
    <t xml:space="preserve">            Student Version</t>
  </si>
  <si>
    <t>8/24/09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</si>
</sst>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164" formatCode="0.0%"/>
    <numFmt numFmtId="165" formatCode="mm/dd/yy"/>
    <numFmt numFmtId="166" formatCode="0.0"/>
    <numFmt numFmtId="167" formatCode="0_);\(0\)"/>
    <numFmt numFmtId="168" formatCode="&quot;$&quot;#,##0"/>
    <numFmt numFmtId="169" formatCode="#,##0.0_);\(#,##0.0\)"/>
  </numFmts>
  <fonts count="9" x14ac:knownFonts="1">
    <font>
      <sz val="12"/>
      <name val="Arial"/>
    </font>
    <font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2" borderId="0"/>
  </cellStyleXfs>
  <cellXfs count="47">
    <xf numFmtId="0" fontId="0" fillId="2" borderId="0" xfId="0" applyNumberFormat="1"/>
    <xf numFmtId="37" fontId="0" fillId="2" borderId="0" xfId="0" applyNumberFormat="1" applyProtection="1">
      <protection locked="0"/>
    </xf>
    <xf numFmtId="0" fontId="0" fillId="2" borderId="0" xfId="0" applyNumberFormat="1" applyProtection="1">
      <protection locked="0"/>
    </xf>
    <xf numFmtId="166" fontId="0" fillId="2" borderId="0" xfId="0" applyNumberFormat="1"/>
    <xf numFmtId="2" fontId="0" fillId="2" borderId="0" xfId="0" applyNumberFormat="1"/>
    <xf numFmtId="164" fontId="0" fillId="2" borderId="0" xfId="0" applyNumberFormat="1"/>
    <xf numFmtId="10" fontId="0" fillId="2" borderId="0" xfId="0" applyNumberFormat="1"/>
    <xf numFmtId="37" fontId="0" fillId="2" borderId="0" xfId="0" applyNumberFormat="1"/>
    <xf numFmtId="5" fontId="0" fillId="2" borderId="0" xfId="0" applyNumberFormat="1" applyProtection="1">
      <protection locked="0"/>
    </xf>
    <xf numFmtId="5" fontId="0" fillId="2" borderId="0" xfId="0" applyNumberFormat="1"/>
    <xf numFmtId="0" fontId="0" fillId="2" borderId="1" xfId="0" applyNumberFormat="1" applyBorder="1" applyProtection="1">
      <protection locked="0"/>
    </xf>
    <xf numFmtId="37" fontId="0" fillId="2" borderId="1" xfId="0" applyNumberFormat="1" applyBorder="1"/>
    <xf numFmtId="0" fontId="0" fillId="2" borderId="1" xfId="0" applyNumberFormat="1" applyBorder="1"/>
    <xf numFmtId="5" fontId="0" fillId="2" borderId="2" xfId="0" applyNumberFormat="1" applyBorder="1"/>
    <xf numFmtId="0" fontId="0" fillId="2" borderId="0" xfId="0" applyNumberFormat="1" applyAlignment="1">
      <alignment horizontal="right"/>
    </xf>
    <xf numFmtId="0" fontId="0" fillId="2" borderId="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1" fillId="2" borderId="0" xfId="0" applyNumberFormat="1" applyFont="1" applyProtection="1">
      <protection locked="0"/>
    </xf>
    <xf numFmtId="0" fontId="1" fillId="2" borderId="0" xfId="0" applyNumberFormat="1" applyFont="1"/>
    <xf numFmtId="0" fontId="0" fillId="2" borderId="0" xfId="0" quotePrefix="1" applyNumberFormat="1" applyAlignment="1">
      <alignment horizontal="left"/>
    </xf>
    <xf numFmtId="0" fontId="1" fillId="2" borderId="0" xfId="0" applyNumberFormat="1" applyFont="1" applyAlignment="1" applyProtection="1">
      <alignment horizontal="right"/>
      <protection locked="0"/>
    </xf>
    <xf numFmtId="0" fontId="2" fillId="2" borderId="0" xfId="0" applyNumberFormat="1" applyFont="1" applyProtection="1">
      <protection locked="0"/>
    </xf>
    <xf numFmtId="5" fontId="3" fillId="2" borderId="0" xfId="0" applyNumberFormat="1" applyFont="1" applyProtection="1">
      <protection locked="0"/>
    </xf>
    <xf numFmtId="164" fontId="3" fillId="2" borderId="0" xfId="0" applyNumberFormat="1" applyFont="1" applyProtection="1">
      <protection locked="0"/>
    </xf>
    <xf numFmtId="0" fontId="4" fillId="2" borderId="0" xfId="0" applyNumberFormat="1" applyFont="1" applyProtection="1">
      <protection locked="0"/>
    </xf>
    <xf numFmtId="0" fontId="0" fillId="2" borderId="3" xfId="0" applyNumberFormat="1" applyBorder="1"/>
    <xf numFmtId="37" fontId="0" fillId="2" borderId="3" xfId="0" applyNumberFormat="1" applyBorder="1"/>
    <xf numFmtId="165" fontId="1" fillId="2" borderId="0" xfId="0" applyNumberFormat="1" applyFont="1" applyAlignment="1" applyProtection="1">
      <alignment horizontal="left"/>
      <protection locked="0"/>
    </xf>
    <xf numFmtId="5" fontId="3" fillId="2" borderId="0" xfId="0" applyNumberFormat="1" applyFont="1"/>
    <xf numFmtId="167" fontId="3" fillId="2" borderId="0" xfId="0" applyNumberFormat="1" applyFont="1" applyProtection="1">
      <protection locked="0"/>
    </xf>
    <xf numFmtId="0" fontId="0" fillId="2" borderId="4" xfId="0" applyNumberFormat="1" applyBorder="1"/>
    <xf numFmtId="166" fontId="0" fillId="2" borderId="0" xfId="0" applyNumberFormat="1" applyAlignment="1">
      <alignment horizontal="center"/>
    </xf>
    <xf numFmtId="0" fontId="0" fillId="2" borderId="4" xfId="0" applyNumberFormat="1" applyBorder="1" applyAlignment="1">
      <alignment horizontal="center"/>
    </xf>
    <xf numFmtId="166" fontId="0" fillId="2" borderId="4" xfId="0" applyNumberFormat="1" applyBorder="1" applyAlignment="1">
      <alignment horizontal="center"/>
    </xf>
    <xf numFmtId="0" fontId="4" fillId="2" borderId="0" xfId="0" applyNumberFormat="1" applyFont="1"/>
    <xf numFmtId="164" fontId="3" fillId="2" borderId="0" xfId="0" applyNumberFormat="1" applyFont="1" applyAlignment="1">
      <alignment horizontal="center"/>
    </xf>
    <xf numFmtId="164" fontId="3" fillId="2" borderId="4" xfId="0" applyNumberFormat="1" applyFont="1" applyBorder="1" applyAlignment="1">
      <alignment horizontal="center"/>
    </xf>
    <xf numFmtId="164" fontId="0" fillId="2" borderId="5" xfId="0" applyNumberFormat="1" applyBorder="1" applyAlignment="1">
      <alignment horizontal="center"/>
    </xf>
    <xf numFmtId="39" fontId="0" fillId="2" borderId="0" xfId="0" applyNumberFormat="1"/>
    <xf numFmtId="0" fontId="0" fillId="2" borderId="0" xfId="0" applyNumberFormat="1" applyBorder="1"/>
    <xf numFmtId="168" fontId="3" fillId="2" borderId="0" xfId="0" applyNumberFormat="1" applyFont="1" applyProtection="1">
      <protection locked="0"/>
    </xf>
    <xf numFmtId="0" fontId="1" fillId="2" borderId="0" xfId="0" quotePrefix="1" applyNumberFormat="1" applyFont="1" applyProtection="1">
      <protection locked="0"/>
    </xf>
    <xf numFmtId="169" fontId="0" fillId="2" borderId="0" xfId="0" applyNumberFormat="1"/>
    <xf numFmtId="0" fontId="6" fillId="2" borderId="0" xfId="0" applyNumberFormat="1" applyFont="1"/>
    <xf numFmtId="5" fontId="8" fillId="2" borderId="0" xfId="0" applyNumberFormat="1" applyFont="1"/>
    <xf numFmtId="37" fontId="8" fillId="2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showOutlineSymbols="0" topLeftCell="A28" zoomScale="87" workbookViewId="0">
      <selection activeCell="D28" sqref="D28"/>
    </sheetView>
  </sheetViews>
  <sheetFormatPr baseColWidth="10" defaultColWidth="10.5703125" defaultRowHeight="15" x14ac:dyDescent="0"/>
  <cols>
    <col min="1" max="1" width="11.85546875" customWidth="1"/>
    <col min="2" max="2" width="10.5703125" customWidth="1"/>
    <col min="3" max="4" width="12.85546875" customWidth="1"/>
    <col min="5" max="5" width="13.85546875" customWidth="1"/>
    <col min="6" max="9" width="12.85546875" customWidth="1"/>
    <col min="10" max="19" width="10.85546875" customWidth="1"/>
  </cols>
  <sheetData>
    <row r="1" spans="1:6">
      <c r="A1" s="18" t="s">
        <v>86</v>
      </c>
      <c r="B1" s="18"/>
      <c r="C1" s="18" t="s">
        <v>98</v>
      </c>
      <c r="D1" s="18"/>
      <c r="E1" s="18"/>
      <c r="F1" s="28" t="s">
        <v>93</v>
      </c>
    </row>
    <row r="2" spans="1:6">
      <c r="A2" s="42" t="s">
        <v>99</v>
      </c>
      <c r="B2" s="19"/>
      <c r="C2" s="18"/>
      <c r="D2" s="19"/>
      <c r="E2" s="19"/>
      <c r="F2" s="19" t="s">
        <v>78</v>
      </c>
    </row>
    <row r="3" spans="1:6">
      <c r="A3" s="18"/>
      <c r="B3" s="19"/>
      <c r="C3" s="18" t="s">
        <v>94</v>
      </c>
      <c r="D3" s="19"/>
      <c r="E3" s="19"/>
      <c r="F3" s="19"/>
    </row>
    <row r="4" spans="1:6">
      <c r="A4" s="19"/>
      <c r="B4" s="19"/>
      <c r="C4" s="18" t="s">
        <v>95</v>
      </c>
      <c r="D4" s="19"/>
      <c r="E4" s="19"/>
      <c r="F4" s="19"/>
    </row>
    <row r="6" spans="1:6">
      <c r="A6" t="s">
        <v>0</v>
      </c>
    </row>
    <row r="7" spans="1:6">
      <c r="A7" t="s">
        <v>1</v>
      </c>
    </row>
    <row r="8" spans="1:6">
      <c r="A8" t="s">
        <v>2</v>
      </c>
    </row>
    <row r="10" spans="1:6">
      <c r="A10" t="s">
        <v>96</v>
      </c>
    </row>
    <row r="11" spans="1:6">
      <c r="A11" t="s">
        <v>47</v>
      </c>
    </row>
    <row r="12" spans="1:6">
      <c r="A12" t="s">
        <v>48</v>
      </c>
    </row>
    <row r="13" spans="1:6">
      <c r="A13" s="20" t="s">
        <v>49</v>
      </c>
    </row>
    <row r="14" spans="1:6">
      <c r="A14" t="s">
        <v>46</v>
      </c>
    </row>
    <row r="15" spans="1:6">
      <c r="A15" t="s">
        <v>65</v>
      </c>
    </row>
    <row r="16" spans="1:6">
      <c r="A16" t="s">
        <v>79</v>
      </c>
    </row>
    <row r="17" spans="1:9">
      <c r="A17" t="s">
        <v>66</v>
      </c>
    </row>
    <row r="19" spans="1:9">
      <c r="A19" t="s">
        <v>92</v>
      </c>
    </row>
    <row r="20" spans="1:9">
      <c r="A20" s="44" t="s">
        <v>97</v>
      </c>
    </row>
    <row r="22" spans="1:9" ht="16" thickBot="1">
      <c r="A22" s="26"/>
      <c r="B22" s="26"/>
      <c r="C22" s="26"/>
      <c r="D22" s="26"/>
      <c r="E22" s="26"/>
      <c r="F22" s="26"/>
      <c r="G22" s="40"/>
      <c r="H22" s="40"/>
      <c r="I22" s="40"/>
    </row>
    <row r="23" spans="1:9" ht="16" thickTop="1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2" t="s">
        <v>3</v>
      </c>
      <c r="B24" s="2"/>
      <c r="C24" s="2"/>
      <c r="D24" s="2"/>
      <c r="E24" s="22" t="s">
        <v>84</v>
      </c>
      <c r="F24" s="2"/>
      <c r="H24" s="2"/>
      <c r="I24" s="2"/>
    </row>
    <row r="26" spans="1:9">
      <c r="A26" t="s">
        <v>50</v>
      </c>
      <c r="D26" s="29">
        <v>1000000</v>
      </c>
      <c r="E26" t="s">
        <v>83</v>
      </c>
      <c r="F26" s="9">
        <f>E84</f>
        <v>884458.18405349553</v>
      </c>
    </row>
    <row r="27" spans="1:9">
      <c r="A27" t="s">
        <v>52</v>
      </c>
      <c r="D27" s="23">
        <v>500000</v>
      </c>
      <c r="E27" t="s">
        <v>82</v>
      </c>
      <c r="F27" s="5">
        <f>E85</f>
        <v>0.13074375207707045</v>
      </c>
    </row>
    <row r="28" spans="1:9">
      <c r="A28" t="s">
        <v>5</v>
      </c>
      <c r="D28" s="23">
        <v>10000000</v>
      </c>
      <c r="E28" t="s">
        <v>81</v>
      </c>
      <c r="F28" s="5">
        <f>E86</f>
        <v>0.11793691890770662</v>
      </c>
    </row>
    <row r="29" spans="1:9">
      <c r="A29" t="s">
        <v>53</v>
      </c>
      <c r="D29" s="23">
        <f>0.1*D28</f>
        <v>1000000</v>
      </c>
      <c r="E29" t="s">
        <v>80</v>
      </c>
      <c r="F29" s="3">
        <f>E87</f>
        <v>3.7744590390935064</v>
      </c>
      <c r="G29" s="23"/>
    </row>
    <row r="30" spans="1:9">
      <c r="A30" t="s">
        <v>6</v>
      </c>
      <c r="D30" s="30">
        <v>20</v>
      </c>
    </row>
    <row r="31" spans="1:9">
      <c r="A31" t="s">
        <v>91</v>
      </c>
      <c r="D31" s="23">
        <v>1000</v>
      </c>
    </row>
    <row r="32" spans="1:9">
      <c r="A32" t="s">
        <v>7</v>
      </c>
      <c r="D32" s="23">
        <f>0.15*D31*D30*250</f>
        <v>750000</v>
      </c>
    </row>
    <row r="33" spans="1:9">
      <c r="A33" t="s">
        <v>8</v>
      </c>
      <c r="D33" s="23">
        <f>0.1*D31*D30*250</f>
        <v>500000</v>
      </c>
    </row>
    <row r="34" spans="1:9">
      <c r="A34" t="s">
        <v>9</v>
      </c>
      <c r="D34" s="23">
        <f>0.1*D31*D30*250</f>
        <v>500000</v>
      </c>
      <c r="E34" s="5"/>
      <c r="F34" s="5"/>
      <c r="G34" s="5"/>
      <c r="H34" s="5"/>
      <c r="I34" s="5"/>
    </row>
    <row r="35" spans="1:9">
      <c r="A35" t="s">
        <v>10</v>
      </c>
      <c r="D35" s="23">
        <f>0.2*D31</f>
        <v>200</v>
      </c>
      <c r="E35" s="9"/>
      <c r="F35" s="9"/>
      <c r="G35" s="9"/>
      <c r="H35" s="9"/>
      <c r="I35" s="9"/>
    </row>
    <row r="36" spans="1:9">
      <c r="A36" t="s">
        <v>11</v>
      </c>
      <c r="D36" s="24">
        <v>0.05</v>
      </c>
    </row>
    <row r="37" spans="1:9">
      <c r="A37" t="s">
        <v>12</v>
      </c>
      <c r="D37" s="24">
        <v>0.05</v>
      </c>
    </row>
    <row r="38" spans="1:9">
      <c r="A38" t="s">
        <v>13</v>
      </c>
      <c r="D38" s="24">
        <v>0.4</v>
      </c>
      <c r="E38" s="9"/>
      <c r="F38" s="9"/>
      <c r="G38" s="9"/>
      <c r="H38" s="9"/>
      <c r="I38" s="9"/>
    </row>
    <row r="39" spans="1:9">
      <c r="A39" t="s">
        <v>88</v>
      </c>
      <c r="D39" s="41">
        <f>0.1*D31*D30*250</f>
        <v>500000</v>
      </c>
      <c r="E39" s="9"/>
      <c r="F39" s="9"/>
      <c r="G39" s="9"/>
      <c r="H39" s="9"/>
      <c r="I39" s="9"/>
    </row>
    <row r="40" spans="1:9">
      <c r="A40" t="s">
        <v>87</v>
      </c>
      <c r="D40" s="41">
        <f>0.25*D31*D30*250</f>
        <v>1250000</v>
      </c>
      <c r="E40" s="9"/>
      <c r="F40" s="9"/>
      <c r="G40" s="9"/>
      <c r="H40" s="9"/>
      <c r="I40" s="9"/>
    </row>
    <row r="41" spans="1:9">
      <c r="A41" t="s">
        <v>14</v>
      </c>
      <c r="D41" s="24">
        <v>0.1</v>
      </c>
      <c r="E41" s="9"/>
      <c r="F41" s="9"/>
      <c r="G41" s="9"/>
      <c r="H41" s="9"/>
      <c r="I41" s="9"/>
    </row>
    <row r="42" spans="1:9" ht="16" thickBot="1">
      <c r="A42" s="26"/>
      <c r="B42" s="26"/>
      <c r="C42" s="26"/>
      <c r="D42" s="26"/>
      <c r="E42" s="27"/>
      <c r="F42" s="27"/>
      <c r="G42" s="27"/>
      <c r="H42" s="27"/>
      <c r="I42" s="27"/>
    </row>
    <row r="43" spans="1:9" ht="16" thickTop="1"/>
    <row r="44" spans="1:9">
      <c r="A44" s="22" t="s">
        <v>15</v>
      </c>
      <c r="D44" s="7"/>
      <c r="E44" s="7"/>
      <c r="F44" s="7"/>
      <c r="G44" s="7"/>
      <c r="H44" s="7"/>
      <c r="I44" s="7"/>
    </row>
    <row r="45" spans="1:9">
      <c r="D45" s="7"/>
      <c r="E45" s="7"/>
      <c r="F45" s="7"/>
      <c r="G45" s="7"/>
      <c r="H45" s="7"/>
      <c r="I45" s="7"/>
    </row>
    <row r="46" spans="1:9">
      <c r="A46" s="25" t="s">
        <v>16</v>
      </c>
      <c r="D46" s="6"/>
      <c r="E46" s="6"/>
      <c r="F46" s="6"/>
      <c r="G46" s="6"/>
      <c r="H46" s="6"/>
      <c r="I46" s="6"/>
    </row>
    <row r="48" spans="1:9">
      <c r="C48" s="14" t="s">
        <v>17</v>
      </c>
      <c r="D48" s="16" t="s">
        <v>18</v>
      </c>
      <c r="E48" s="16" t="s">
        <v>19</v>
      </c>
    </row>
    <row r="49" spans="1:9">
      <c r="B49" s="15" t="s">
        <v>20</v>
      </c>
      <c r="C49" s="15" t="s">
        <v>21</v>
      </c>
      <c r="D49" s="17" t="s">
        <v>22</v>
      </c>
      <c r="E49" s="17" t="s">
        <v>23</v>
      </c>
    </row>
    <row r="50" spans="1:9">
      <c r="B50">
        <v>1</v>
      </c>
      <c r="C50" s="4">
        <v>0.2</v>
      </c>
      <c r="D50" s="9">
        <f t="shared" ref="D50:D55" si="0">$D$28*C50</f>
        <v>2000000</v>
      </c>
      <c r="E50" s="9">
        <f>$D$28-D50</f>
        <v>8000000</v>
      </c>
      <c r="F50" s="9"/>
      <c r="G50" s="2"/>
      <c r="H50" s="2"/>
      <c r="I50" s="2"/>
    </row>
    <row r="51" spans="1:9">
      <c r="B51">
        <v>2</v>
      </c>
      <c r="C51" s="4">
        <v>0.32</v>
      </c>
      <c r="D51" s="7">
        <f t="shared" si="0"/>
        <v>3200000</v>
      </c>
      <c r="E51" s="7">
        <f>E50-D51</f>
        <v>4800000</v>
      </c>
      <c r="F51" s="7"/>
    </row>
    <row r="52" spans="1:9">
      <c r="B52">
        <v>3</v>
      </c>
      <c r="C52" s="4">
        <v>0.19</v>
      </c>
      <c r="D52" s="7">
        <f t="shared" si="0"/>
        <v>1900000</v>
      </c>
      <c r="E52" s="7">
        <f>E51-D52</f>
        <v>2900000</v>
      </c>
      <c r="F52" s="7"/>
    </row>
    <row r="53" spans="1:9">
      <c r="B53">
        <v>4</v>
      </c>
      <c r="C53" s="4">
        <v>0.12</v>
      </c>
      <c r="D53" s="7">
        <f t="shared" si="0"/>
        <v>1200000</v>
      </c>
      <c r="E53" s="7">
        <f>E52-D53</f>
        <v>1700000</v>
      </c>
      <c r="F53" s="7"/>
    </row>
    <row r="54" spans="1:9">
      <c r="B54">
        <v>5</v>
      </c>
      <c r="C54" s="4">
        <v>0.11</v>
      </c>
      <c r="D54" s="7">
        <f t="shared" si="0"/>
        <v>1100000</v>
      </c>
      <c r="E54" s="7">
        <f>E53-D54</f>
        <v>600000</v>
      </c>
      <c r="F54" s="7"/>
    </row>
    <row r="55" spans="1:9">
      <c r="B55">
        <v>6</v>
      </c>
      <c r="C55" s="4">
        <v>0.06</v>
      </c>
      <c r="D55" s="7">
        <f t="shared" si="0"/>
        <v>600000</v>
      </c>
      <c r="E55" s="7">
        <f>E54-D55</f>
        <v>0</v>
      </c>
    </row>
    <row r="57" spans="1:9">
      <c r="A57" s="25" t="s">
        <v>24</v>
      </c>
      <c r="E57" s="8"/>
      <c r="F57" s="8"/>
      <c r="G57" s="9"/>
      <c r="H57" s="8"/>
    </row>
    <row r="58" spans="1:9">
      <c r="F58" s="8"/>
      <c r="G58" s="7"/>
      <c r="H58" s="1"/>
    </row>
    <row r="59" spans="1:9">
      <c r="D59" s="12" t="s">
        <v>25</v>
      </c>
      <c r="E59" s="12"/>
      <c r="F59" s="12"/>
      <c r="G59" s="12"/>
      <c r="H59" s="12"/>
      <c r="I59" s="12"/>
    </row>
    <row r="60" spans="1:9">
      <c r="D60" s="17" t="s">
        <v>26</v>
      </c>
      <c r="E60" s="17" t="s">
        <v>27</v>
      </c>
      <c r="F60" s="17" t="s">
        <v>28</v>
      </c>
      <c r="G60" s="17" t="s">
        <v>29</v>
      </c>
      <c r="H60" s="17" t="s">
        <v>30</v>
      </c>
      <c r="I60" s="17" t="s">
        <v>31</v>
      </c>
    </row>
    <row r="61" spans="1:9">
      <c r="A61" t="s">
        <v>4</v>
      </c>
      <c r="D61" s="9">
        <f>-D27</f>
        <v>-500000</v>
      </c>
      <c r="F61" s="1"/>
      <c r="G61" s="8"/>
      <c r="H61" s="8"/>
    </row>
    <row r="62" spans="1:9">
      <c r="A62" t="s">
        <v>5</v>
      </c>
      <c r="D62" s="7">
        <f>-D28</f>
        <v>-10000000</v>
      </c>
      <c r="F62" s="1"/>
      <c r="G62" s="1"/>
      <c r="H62" s="1"/>
    </row>
    <row r="63" spans="1:9">
      <c r="A63" t="s">
        <v>90</v>
      </c>
      <c r="E63" s="9">
        <f>(250*D30*D31)-D39</f>
        <v>4500000</v>
      </c>
      <c r="F63" s="9">
        <f>(250*D30*D31-D39)*(1+D36)</f>
        <v>4725000</v>
      </c>
      <c r="G63" s="9">
        <f>(250*D30*D31-D39)*(1+D36)^2</f>
        <v>4961250</v>
      </c>
      <c r="H63" s="9">
        <f>(250*D30*D31-D39)*(1+D36)^3</f>
        <v>5209312.5000000009</v>
      </c>
      <c r="I63" s="9">
        <f>(250*D30*D31-D39)*(1+D36)^4</f>
        <v>5469778.125</v>
      </c>
    </row>
    <row r="64" spans="1:9">
      <c r="A64" t="s">
        <v>32</v>
      </c>
      <c r="E64" s="7">
        <f>D32</f>
        <v>750000</v>
      </c>
      <c r="F64" s="7">
        <f t="shared" ref="F64:I66" si="1">E64*(1+$D$37)</f>
        <v>787500</v>
      </c>
      <c r="G64" s="7">
        <f t="shared" si="1"/>
        <v>826875</v>
      </c>
      <c r="H64" s="7">
        <f t="shared" si="1"/>
        <v>868218.75</v>
      </c>
      <c r="I64" s="7">
        <f t="shared" si="1"/>
        <v>911629.6875</v>
      </c>
    </row>
    <row r="65" spans="1:9">
      <c r="A65" t="s">
        <v>89</v>
      </c>
      <c r="E65" s="7">
        <f>-D40</f>
        <v>-1250000</v>
      </c>
      <c r="F65" s="7">
        <f t="shared" si="1"/>
        <v>-1312500</v>
      </c>
      <c r="G65" s="7">
        <f t="shared" si="1"/>
        <v>-1378125</v>
      </c>
      <c r="H65" s="7">
        <f t="shared" si="1"/>
        <v>-1447031.25</v>
      </c>
      <c r="I65" s="7">
        <f t="shared" si="1"/>
        <v>-1519382.8125</v>
      </c>
    </row>
    <row r="66" spans="1:9">
      <c r="A66" t="s">
        <v>54</v>
      </c>
      <c r="E66" s="7">
        <f>D33</f>
        <v>500000</v>
      </c>
      <c r="F66" s="7">
        <f t="shared" si="1"/>
        <v>525000</v>
      </c>
      <c r="G66" s="7">
        <f t="shared" si="1"/>
        <v>551250</v>
      </c>
      <c r="H66" s="7">
        <f t="shared" si="1"/>
        <v>578812.5</v>
      </c>
      <c r="I66" s="7">
        <f t="shared" si="1"/>
        <v>607753.125</v>
      </c>
    </row>
    <row r="67" spans="1:9">
      <c r="A67" t="s">
        <v>55</v>
      </c>
      <c r="E67" s="7">
        <f>250*D30*$D$35</f>
        <v>1000000</v>
      </c>
      <c r="F67" s="7">
        <f>250*D30*$D$35*(1+$D$37)^1</f>
        <v>1050000</v>
      </c>
      <c r="G67" s="7">
        <f>250*D30*$D$35*(1+$D$37)^2</f>
        <v>1102500</v>
      </c>
      <c r="H67" s="7">
        <f>250*D30*$D$35*(1+$D$37)^3</f>
        <v>1157625.0000000002</v>
      </c>
      <c r="I67" s="7">
        <f>250*D30*$D$35*(1+$D$37)^4</f>
        <v>1215506.25</v>
      </c>
    </row>
    <row r="68" spans="1:9">
      <c r="A68" t="s">
        <v>56</v>
      </c>
      <c r="E68" s="7">
        <f>D34</f>
        <v>500000</v>
      </c>
      <c r="F68" s="7">
        <f>E68*(1+$D$37)</f>
        <v>525000</v>
      </c>
      <c r="G68" s="7">
        <f>F68*(1+$D$37)</f>
        <v>551250</v>
      </c>
      <c r="H68" s="7">
        <f>G68*(1+$D$37)</f>
        <v>578812.5</v>
      </c>
      <c r="I68" s="7">
        <f>H68*(1+$D$37)</f>
        <v>607753.125</v>
      </c>
    </row>
    <row r="69" spans="1:9">
      <c r="A69" t="s">
        <v>57</v>
      </c>
      <c r="D69" s="12"/>
      <c r="E69" s="11">
        <f>D50</f>
        <v>2000000</v>
      </c>
      <c r="F69" s="11">
        <f>D51</f>
        <v>3200000</v>
      </c>
      <c r="G69" s="11">
        <f>D52</f>
        <v>1900000</v>
      </c>
      <c r="H69" s="11">
        <f>D53</f>
        <v>1200000</v>
      </c>
      <c r="I69" s="11">
        <f>D54</f>
        <v>1100000</v>
      </c>
    </row>
    <row r="70" spans="1:9">
      <c r="A70" t="s">
        <v>33</v>
      </c>
      <c r="E70" s="9">
        <f>E63-SUM(E64:E69)</f>
        <v>1000000</v>
      </c>
      <c r="F70" s="9">
        <f>F63-SUM(F64:F69)</f>
        <v>-50000</v>
      </c>
      <c r="G70" s="9">
        <f>G63-SUM(G64:G69)</f>
        <v>1407500</v>
      </c>
      <c r="H70" s="9">
        <f>H63-SUM(H64:H69)</f>
        <v>2272875.0000000009</v>
      </c>
      <c r="I70" s="9">
        <f>I63-SUM(I64:I69)</f>
        <v>2546518.75</v>
      </c>
    </row>
    <row r="71" spans="1:9">
      <c r="A71" t="s">
        <v>34</v>
      </c>
      <c r="B71" s="2"/>
      <c r="C71" s="2"/>
      <c r="D71" s="10"/>
      <c r="E71" s="11">
        <f>E70*$D$38</f>
        <v>400000</v>
      </c>
      <c r="F71" s="11">
        <f>F70*$D$38</f>
        <v>-20000</v>
      </c>
      <c r="G71" s="11">
        <f>G70*$D$38</f>
        <v>563000</v>
      </c>
      <c r="H71" s="11">
        <f>H70*$D$38</f>
        <v>909150.00000000047</v>
      </c>
      <c r="I71" s="11">
        <f>I70*$D$38</f>
        <v>1018607.5</v>
      </c>
    </row>
    <row r="72" spans="1:9">
      <c r="A72" t="s">
        <v>35</v>
      </c>
      <c r="B72" s="2"/>
      <c r="C72" s="2"/>
      <c r="D72" s="2"/>
      <c r="E72" s="9">
        <f>E70-E71</f>
        <v>600000</v>
      </c>
      <c r="F72" s="9">
        <f>F70-F71</f>
        <v>-30000</v>
      </c>
      <c r="G72" s="9">
        <f>G70-G71</f>
        <v>844500</v>
      </c>
      <c r="H72" s="9">
        <f>H70-H71</f>
        <v>1363725.0000000005</v>
      </c>
      <c r="I72" s="9">
        <f>I70-I71</f>
        <v>1527911.25</v>
      </c>
    </row>
    <row r="73" spans="1:9">
      <c r="A73" t="s">
        <v>36</v>
      </c>
      <c r="E73" s="7">
        <f>E69</f>
        <v>2000000</v>
      </c>
      <c r="F73" s="7">
        <f>F69</f>
        <v>3200000</v>
      </c>
      <c r="G73" s="7">
        <f>G69</f>
        <v>1900000</v>
      </c>
      <c r="H73" s="7">
        <f>H69</f>
        <v>1200000</v>
      </c>
      <c r="I73" s="7">
        <f>I69</f>
        <v>1100000</v>
      </c>
    </row>
    <row r="74" spans="1:9">
      <c r="A74" t="s">
        <v>51</v>
      </c>
      <c r="I74" s="7">
        <f>D27-(D27-D26)*D38</f>
        <v>700000</v>
      </c>
    </row>
    <row r="75" spans="1:9">
      <c r="A75" t="s">
        <v>58</v>
      </c>
      <c r="B75" s="2"/>
      <c r="C75" s="2"/>
      <c r="D75" s="10"/>
      <c r="E75" s="10"/>
      <c r="F75" s="10"/>
      <c r="G75" s="10"/>
      <c r="H75" s="10"/>
      <c r="I75" s="11">
        <f>D29-(D29-E54)*D38</f>
        <v>840000</v>
      </c>
    </row>
    <row r="77" spans="1:9">
      <c r="A77" t="s">
        <v>37</v>
      </c>
      <c r="D77" s="13">
        <f>D61+D62</f>
        <v>-10500000</v>
      </c>
      <c r="E77" s="13">
        <f>E72+E73+E75</f>
        <v>2600000</v>
      </c>
      <c r="F77" s="13">
        <f>F72+F73+F75</f>
        <v>3170000</v>
      </c>
      <c r="G77" s="13">
        <f>G72+G73+G75</f>
        <v>2744500</v>
      </c>
      <c r="H77" s="13">
        <f>H72+H73+H75</f>
        <v>2563725.0000000005</v>
      </c>
      <c r="I77" s="13">
        <f>I72+I73+I74+I75</f>
        <v>4167911.25</v>
      </c>
    </row>
    <row r="79" spans="1:9">
      <c r="A79" t="s">
        <v>38</v>
      </c>
      <c r="D79" s="9">
        <f>D77</f>
        <v>-10500000</v>
      </c>
      <c r="E79" s="9">
        <f>D77+E77</f>
        <v>-7900000</v>
      </c>
      <c r="F79" s="9">
        <f>D77+E77+F77</f>
        <v>-4730000</v>
      </c>
      <c r="G79" s="9">
        <f>D77+E77+F77+G77</f>
        <v>-1985500</v>
      </c>
      <c r="H79" s="9">
        <f>D77+E77+F77+G77+H77</f>
        <v>578225.00000000047</v>
      </c>
      <c r="I79" s="9">
        <f>D77+E77+F77+G77+H77+I77</f>
        <v>4746136.25</v>
      </c>
    </row>
    <row r="80" spans="1:9">
      <c r="A80" t="s">
        <v>39</v>
      </c>
    </row>
    <row r="81" spans="1:7">
      <c r="D81" s="7"/>
      <c r="E81" s="7"/>
    </row>
    <row r="82" spans="1:7">
      <c r="A82" s="25" t="s">
        <v>40</v>
      </c>
      <c r="D82" s="9"/>
      <c r="E82" s="9"/>
    </row>
    <row r="83" spans="1:7">
      <c r="D83" s="5"/>
      <c r="E83" s="5"/>
    </row>
    <row r="84" spans="1:7">
      <c r="A84" t="s">
        <v>41</v>
      </c>
      <c r="E84" s="9">
        <f>NPV(D41,E77:I77)+D77</f>
        <v>884458.18405349553</v>
      </c>
    </row>
    <row r="85" spans="1:7">
      <c r="A85" t="s">
        <v>42</v>
      </c>
      <c r="D85" s="9"/>
      <c r="E85" s="5">
        <f>IRR(D77:I77,0)</f>
        <v>0.13074375207707045</v>
      </c>
    </row>
    <row r="86" spans="1:7">
      <c r="A86" t="s">
        <v>43</v>
      </c>
      <c r="E86" s="5">
        <f>RATE(5,,D77,+I77+H77*(1+D41)+G77*(1+D41)^2+F77*(1+D41)^3+E77*(1+D41)^4)</f>
        <v>0.11793691890770662</v>
      </c>
    </row>
    <row r="87" spans="1:7">
      <c r="A87" t="s">
        <v>44</v>
      </c>
      <c r="D87" s="9"/>
      <c r="E87" s="3">
        <f>IF(E79&gt;0,0+(-E79/E77),IF(F79&gt;0,1+(-E79/F77),IF(G79&gt;0,2+(-F79/G77),IF(H79&gt;0,3+(-G79/H77),IF(I79&gt;0,4+(-H79/I77),999)))))</f>
        <v>3.7744590390935064</v>
      </c>
    </row>
    <row r="88" spans="1:7">
      <c r="D88" s="9"/>
      <c r="E88" s="3"/>
    </row>
    <row r="89" spans="1:7">
      <c r="D89" s="9"/>
      <c r="E89" s="3"/>
    </row>
    <row r="90" spans="1:7">
      <c r="A90" s="25" t="s">
        <v>85</v>
      </c>
      <c r="D90" s="9"/>
      <c r="E90" s="3"/>
    </row>
    <row r="91" spans="1:7">
      <c r="A91" s="25" t="s">
        <v>67</v>
      </c>
      <c r="D91" s="9"/>
      <c r="E91" s="3"/>
    </row>
    <row r="92" spans="1:7">
      <c r="A92" s="35" t="s">
        <v>68</v>
      </c>
      <c r="D92" s="9"/>
      <c r="E92" s="3"/>
    </row>
    <row r="93" spans="1:7">
      <c r="D93" s="9"/>
      <c r="E93" s="3"/>
    </row>
    <row r="94" spans="1:7">
      <c r="D94" s="16" t="s">
        <v>61</v>
      </c>
      <c r="E94" s="16" t="s">
        <v>59</v>
      </c>
      <c r="F94" s="32" t="s">
        <v>63</v>
      </c>
    </row>
    <row r="95" spans="1:7">
      <c r="B95" s="31" t="s">
        <v>70</v>
      </c>
      <c r="C95" s="33" t="s">
        <v>69</v>
      </c>
      <c r="D95" s="33" t="s">
        <v>62</v>
      </c>
      <c r="E95" s="33" t="s">
        <v>60</v>
      </c>
      <c r="F95" s="34" t="s">
        <v>64</v>
      </c>
      <c r="G95" s="33" t="s">
        <v>74</v>
      </c>
    </row>
    <row r="96" spans="1:7">
      <c r="B96" t="s">
        <v>71</v>
      </c>
      <c r="C96" s="36">
        <v>0.2</v>
      </c>
      <c r="D96" s="7">
        <v>10</v>
      </c>
      <c r="E96" s="9">
        <v>800</v>
      </c>
      <c r="F96" s="9">
        <v>4000000</v>
      </c>
      <c r="G96" s="45">
        <v>-2480522</v>
      </c>
    </row>
    <row r="97" spans="1:9">
      <c r="B97" t="s">
        <v>72</v>
      </c>
      <c r="C97" s="36">
        <v>0.5</v>
      </c>
      <c r="D97" s="7">
        <v>20</v>
      </c>
      <c r="E97" s="7">
        <v>1000</v>
      </c>
      <c r="F97" s="7">
        <v>5000000</v>
      </c>
      <c r="G97" s="46">
        <v>2374669</v>
      </c>
    </row>
    <row r="98" spans="1:9">
      <c r="B98" t="s">
        <v>73</v>
      </c>
      <c r="C98" s="37">
        <v>0.3</v>
      </c>
      <c r="D98" s="7">
        <v>25</v>
      </c>
      <c r="E98" s="7">
        <v>1200</v>
      </c>
      <c r="F98" s="7">
        <v>6000000</v>
      </c>
      <c r="G98" s="46">
        <v>6482754</v>
      </c>
    </row>
    <row r="99" spans="1:9" ht="16" thickBot="1">
      <c r="C99" s="38">
        <f>C96+C97+C98</f>
        <v>1</v>
      </c>
      <c r="D99" s="9"/>
      <c r="E99" s="3"/>
    </row>
    <row r="100" spans="1:9" ht="16" thickTop="1">
      <c r="D100" s="9"/>
      <c r="E100" s="3"/>
    </row>
    <row r="101" spans="1:9">
      <c r="D101" s="9"/>
      <c r="E101" s="3"/>
    </row>
    <row r="102" spans="1:9">
      <c r="B102" t="s">
        <v>75</v>
      </c>
      <c r="D102" s="9">
        <f>C96*G96+C97*G97+C98*G98</f>
        <v>2636056.2999999998</v>
      </c>
      <c r="E102" s="3"/>
    </row>
    <row r="103" spans="1:9">
      <c r="B103" t="s">
        <v>76</v>
      </c>
      <c r="D103" s="9">
        <f>(C96*(G96-D102)^2+C97*(G97-D102)^2+C98*(G98-D102)^2)^0.5</f>
        <v>3115952.7144779349</v>
      </c>
      <c r="E103" s="3"/>
    </row>
    <row r="104" spans="1:9">
      <c r="B104" t="s">
        <v>77</v>
      </c>
      <c r="D104" s="43">
        <f>D103/D102</f>
        <v>1.1820508971974291</v>
      </c>
      <c r="E104" s="3"/>
    </row>
    <row r="105" spans="1:9">
      <c r="D105" s="39"/>
      <c r="E105" s="3"/>
    </row>
    <row r="106" spans="1:9" ht="16" thickBot="1">
      <c r="A106" s="26"/>
      <c r="B106" s="26"/>
      <c r="C106" s="26"/>
      <c r="D106" s="26"/>
      <c r="E106" s="27"/>
      <c r="F106" s="27"/>
      <c r="G106" s="27"/>
      <c r="H106" s="27"/>
      <c r="I106" s="27"/>
    </row>
    <row r="107" spans="1:9" ht="16" thickTop="1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I108" s="21" t="s">
        <v>45</v>
      </c>
    </row>
  </sheetData>
  <phoneticPr fontId="0" type="noConversion"/>
  <pageMargins left="0.5" right="0.5" top="0.75" bottom="0.75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Sinvhal</dc:creator>
  <cp:lastModifiedBy>Jennifer Wisel</cp:lastModifiedBy>
  <cp:lastPrinted>1999-09-29T18:31:13Z</cp:lastPrinted>
  <dcterms:created xsi:type="dcterms:W3CDTF">1999-03-17T19:23:54Z</dcterms:created>
  <dcterms:modified xsi:type="dcterms:W3CDTF">2015-02-22T17:00:15Z</dcterms:modified>
</cp:coreProperties>
</file>